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fordu-my.sharepoint.com/personal/kpearson_samford_edu/Documents/Research/DNS ALS Grant/Education/"/>
    </mc:Choice>
  </mc:AlternateContent>
  <xr:revisionPtr revIDLastSave="66" documentId="8_{BB8FC5A9-AE8F-4035-BC87-7607122FD877}" xr6:coauthVersionLast="47" xr6:coauthVersionMax="47" xr10:uidLastSave="{7DB9F5A4-FDCB-4537-8382-0A043F03AADF}"/>
  <bookViews>
    <workbookView xWindow="-120" yWindow="-120" windowWidth="29040" windowHeight="15840" xr2:uid="{D1F3D6CC-BA74-4F7B-8E8A-9F28AC63EC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T25" i="1"/>
  <c r="T24" i="1"/>
  <c r="E11" i="1"/>
  <c r="R21" i="1" s="1"/>
  <c r="E10" i="1"/>
  <c r="E9" i="1"/>
  <c r="F31" i="1"/>
  <c r="E16" i="1"/>
  <c r="D21" i="1" s="1"/>
  <c r="B16" i="1"/>
  <c r="B21" i="1" s="1"/>
  <c r="J15" i="1" l="1"/>
  <c r="K15" i="1" s="1"/>
  <c r="J16" i="1"/>
  <c r="T34" i="1"/>
  <c r="T29" i="1"/>
  <c r="T30" i="1"/>
  <c r="T33" i="1"/>
  <c r="T28" i="1"/>
  <c r="E21" i="1"/>
  <c r="M26" i="1" s="1"/>
  <c r="C21" i="1"/>
  <c r="T18" i="1" s="1"/>
  <c r="J33" i="1"/>
  <c r="J11" i="1"/>
  <c r="N11" i="1" s="1"/>
  <c r="J25" i="1"/>
  <c r="J27" i="1"/>
  <c r="J26" i="1"/>
  <c r="R11" i="1"/>
  <c r="J29" i="1"/>
  <c r="R12" i="1"/>
  <c r="J28" i="1"/>
  <c r="J30" i="1"/>
  <c r="R13" i="1"/>
  <c r="R14" i="1"/>
  <c r="R15" i="1"/>
  <c r="R16" i="1"/>
  <c r="R17" i="1"/>
  <c r="R18" i="1"/>
  <c r="R19" i="1"/>
  <c r="R20" i="1"/>
  <c r="J31" i="1"/>
  <c r="J32" i="1"/>
  <c r="J10" i="1"/>
  <c r="D16" i="1"/>
  <c r="C16" i="1"/>
  <c r="V21" i="1" s="1"/>
  <c r="F16" i="1"/>
  <c r="W21" i="1" s="1"/>
  <c r="G16" i="1"/>
  <c r="T40" i="1" l="1"/>
  <c r="T38" i="1"/>
  <c r="T37" i="1"/>
  <c r="T39" i="1"/>
  <c r="N15" i="1"/>
  <c r="L26" i="1"/>
  <c r="L31" i="1"/>
  <c r="L33" i="1"/>
  <c r="T13" i="1"/>
  <c r="L29" i="1"/>
  <c r="T19" i="1"/>
  <c r="T20" i="1"/>
  <c r="L28" i="1"/>
  <c r="L27" i="1"/>
  <c r="T12" i="1"/>
  <c r="T11" i="1"/>
  <c r="T17" i="1"/>
  <c r="L25" i="1"/>
  <c r="M29" i="1"/>
  <c r="M27" i="1"/>
  <c r="M33" i="1"/>
  <c r="U14" i="1"/>
  <c r="U12" i="1"/>
  <c r="U19" i="1"/>
  <c r="U15" i="1"/>
  <c r="M32" i="1"/>
  <c r="M30" i="1"/>
  <c r="U18" i="1"/>
  <c r="M28" i="1"/>
  <c r="M25" i="1"/>
  <c r="U13" i="1"/>
  <c r="U20" i="1"/>
  <c r="M31" i="1"/>
  <c r="U21" i="1"/>
  <c r="U16" i="1"/>
  <c r="U11" i="1"/>
  <c r="U17" i="1"/>
  <c r="L32" i="1"/>
  <c r="T16" i="1"/>
  <c r="T14" i="1"/>
  <c r="L30" i="1"/>
  <c r="T15" i="1"/>
  <c r="T21" i="1"/>
  <c r="L11" i="1"/>
  <c r="L15" i="1"/>
  <c r="M15" i="1"/>
  <c r="O15" i="1"/>
  <c r="M11" i="1"/>
  <c r="K11" i="1"/>
  <c r="O11" i="1"/>
  <c r="W11" i="1"/>
  <c r="W20" i="1"/>
  <c r="W19" i="1"/>
  <c r="W18" i="1"/>
  <c r="W17" i="1"/>
  <c r="W16" i="1"/>
  <c r="W15" i="1"/>
  <c r="W14" i="1"/>
  <c r="W13" i="1"/>
  <c r="W12" i="1"/>
  <c r="V20" i="1"/>
  <c r="V18" i="1"/>
  <c r="V17" i="1"/>
  <c r="V16" i="1"/>
  <c r="V11" i="1"/>
  <c r="V19" i="1"/>
  <c r="V15" i="1"/>
  <c r="V14" i="1"/>
  <c r="V13" i="1"/>
  <c r="V12" i="1"/>
  <c r="N29" i="1"/>
  <c r="N28" i="1"/>
  <c r="N27" i="1"/>
  <c r="N26" i="1"/>
  <c r="N25" i="1"/>
  <c r="N30" i="1"/>
  <c r="N33" i="1"/>
  <c r="N32" i="1"/>
  <c r="N31" i="1"/>
  <c r="O32" i="1"/>
  <c r="O31" i="1"/>
  <c r="O30" i="1"/>
  <c r="O29" i="1"/>
  <c r="O28" i="1"/>
  <c r="O27" i="1"/>
  <c r="O26" i="1"/>
  <c r="O25" i="1"/>
  <c r="O33" i="1"/>
  <c r="N10" i="1"/>
  <c r="M10" i="1"/>
  <c r="L10" i="1"/>
  <c r="K10" i="1"/>
  <c r="O10" i="1"/>
  <c r="O16" i="1"/>
  <c r="N16" i="1"/>
  <c r="M16" i="1"/>
  <c r="L16" i="1"/>
  <c r="K16" i="1"/>
</calcChain>
</file>

<file path=xl/sharedStrings.xml><?xml version="1.0" encoding="utf-8"?>
<sst xmlns="http://schemas.openxmlformats.org/spreadsheetml/2006/main" count="85" uniqueCount="55">
  <si>
    <t>Age</t>
  </si>
  <si>
    <t>Height (in)</t>
  </si>
  <si>
    <t>Weight (lbs)</t>
  </si>
  <si>
    <t>cm</t>
  </si>
  <si>
    <t>kg</t>
  </si>
  <si>
    <t>BMI</t>
  </si>
  <si>
    <t>Anthropometrics</t>
  </si>
  <si>
    <t>Ideal Body Weight</t>
  </si>
  <si>
    <t>Male</t>
  </si>
  <si>
    <t>Female</t>
  </si>
  <si>
    <t>%</t>
  </si>
  <si>
    <t>REE</t>
  </si>
  <si>
    <t>Actual BW</t>
  </si>
  <si>
    <t>BEE</t>
  </si>
  <si>
    <t>Adjusted BW</t>
  </si>
  <si>
    <t>Ideal BW</t>
  </si>
  <si>
    <t>Adjusted Body Weight (40%)</t>
  </si>
  <si>
    <t>ALS Functional Rating Scale - 6</t>
  </si>
  <si>
    <t>Speech</t>
  </si>
  <si>
    <t>Handwriting</t>
  </si>
  <si>
    <t>Walking</t>
  </si>
  <si>
    <t>Category</t>
  </si>
  <si>
    <t>Dressing/Hygiene</t>
  </si>
  <si>
    <t>Turning in Bed/Adjusting Bed Clothes</t>
  </si>
  <si>
    <t>Score (0-4)</t>
  </si>
  <si>
    <t>Please only type in cells that are highlighted yellow</t>
  </si>
  <si>
    <t>Total ALSFRS-6 Score</t>
  </si>
  <si>
    <t>Protein Requirements (g/day)</t>
  </si>
  <si>
    <t>lbs</t>
  </si>
  <si>
    <t>g/kg</t>
  </si>
  <si>
    <t>Age 18-55</t>
  </si>
  <si>
    <t>35 mL/kg</t>
  </si>
  <si>
    <t>30 mL/kg</t>
  </si>
  <si>
    <t>25 mL/kg</t>
  </si>
  <si>
    <t>Age 56-75</t>
  </si>
  <si>
    <t>Age &gt;75</t>
  </si>
  <si>
    <t>Age &gt; 50 years</t>
  </si>
  <si>
    <t>Age &gt; 75</t>
  </si>
  <si>
    <t>Age 51-55 years</t>
  </si>
  <si>
    <r>
      <t xml:space="preserve">Age </t>
    </r>
    <r>
      <rPr>
        <b/>
        <sz val="11"/>
        <color theme="1"/>
        <rFont val="Calibri"/>
        <family val="2"/>
      </rPr>
      <t>≤ 50 years</t>
    </r>
  </si>
  <si>
    <t>Age ≤ 50 years</t>
  </si>
  <si>
    <t>kcal/kg</t>
  </si>
  <si>
    <t>*Use caution and clinical judgement with weight based fluid calculations, especially when patients have high or low BMI</t>
  </si>
  <si>
    <t>Updated 6/24/2023</t>
  </si>
  <si>
    <t xml:space="preserve">This tool was created for your convenience; please use clinical judgment when applying to patients </t>
  </si>
  <si>
    <t>Calorie, Protein, and Fluid Requirements in ALS Estimation Spreadsheet</t>
  </si>
  <si>
    <t>Calories per Kilogram (Ratio Method) - Can also be Used for Fluid Needs</t>
  </si>
  <si>
    <t>Dyspnea (Difficulty Breathing)</t>
  </si>
  <si>
    <t>Body Weight Based Fluid Calculation (mL/day)</t>
  </si>
  <si>
    <t>Holliday-Segar Formula for Fluids Adjusted for Age (mL/day)</t>
  </si>
  <si>
    <t>Average of BW and Holliday-Segar per ASPEN Core Curriculum Suggestion (mL/day)</t>
  </si>
  <si>
    <t>ALS Nutrition-NIPPV Study Group Fluid Equation from Scagnelli et al. (2018) (mL/day)</t>
  </si>
  <si>
    <t>Mifflin - St. Jeor Equation (kcal/day)</t>
  </si>
  <si>
    <t>Harris-Benedict Equation (kcal/day)</t>
  </si>
  <si>
    <t xml:space="preserve">Kasarskis Equation (TDEE - kcal/day)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</si>
</sst>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00DF-12D4-49BF-9640-A365758A7E6C}">
  <dimension ref="B2:W43"/>
  <sheetViews>
    <sheetView tabSelected="1" zoomScaleNormal="100" workbookViewId="0">
      <selection activeCell="Y14" sqref="Y14"/>
    </sheetView>
  </sheetViews>
  <sheetFormatPr defaultRowHeight="15" x14ac:dyDescent="0.25"/>
  <cols>
    <col min="1" max="1" width="11.85546875" bestFit="1" customWidth="1"/>
    <col min="2" max="2" width="12" bestFit="1" customWidth="1"/>
    <col min="5" max="5" width="10.5703125" bestFit="1" customWidth="1"/>
    <col min="6" max="6" width="10" customWidth="1"/>
    <col min="12" max="15" width="11.5703125" bestFit="1" customWidth="1"/>
    <col min="20" max="22" width="11.5703125" bestFit="1" customWidth="1"/>
    <col min="23" max="23" width="14.140625" customWidth="1"/>
  </cols>
  <sheetData>
    <row r="2" spans="2:23" ht="18.75" x14ac:dyDescent="0.3">
      <c r="G2" s="10" t="s">
        <v>45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2:23" x14ac:dyDescent="0.25">
      <c r="G3" s="11" t="s">
        <v>25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23" ht="15" customHeight="1" x14ac:dyDescent="0.25">
      <c r="G4" s="12" t="s">
        <v>44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2:23" ht="15" customHeight="1" x14ac:dyDescent="0.25">
      <c r="G5" s="12" t="s">
        <v>43</v>
      </c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2:23" x14ac:dyDescent="0.25">
      <c r="H6" s="8"/>
      <c r="I6" s="8"/>
      <c r="J6" s="8"/>
      <c r="K6" s="8"/>
      <c r="L6" s="8"/>
      <c r="M6" s="8"/>
      <c r="N6" s="8"/>
      <c r="O6" s="8"/>
    </row>
    <row r="8" spans="2:23" x14ac:dyDescent="0.25">
      <c r="B8" s="21" t="s">
        <v>6</v>
      </c>
      <c r="C8" s="22"/>
      <c r="D8" s="22"/>
      <c r="E8" s="23"/>
      <c r="F8" s="5"/>
      <c r="G8" s="5"/>
      <c r="H8" s="5"/>
      <c r="I8" s="18" t="s">
        <v>52</v>
      </c>
      <c r="J8" s="18"/>
      <c r="K8" s="18"/>
      <c r="L8" s="18"/>
      <c r="M8" s="18"/>
      <c r="N8" s="18"/>
      <c r="O8" s="18"/>
      <c r="P8" s="5"/>
      <c r="Q8" s="18" t="s">
        <v>27</v>
      </c>
      <c r="R8" s="18"/>
      <c r="S8" s="18"/>
      <c r="T8" s="18"/>
      <c r="U8" s="18"/>
      <c r="V8" s="18"/>
      <c r="W8" s="18"/>
    </row>
    <row r="9" spans="2:23" x14ac:dyDescent="0.25">
      <c r="B9" s="1" t="s">
        <v>0</v>
      </c>
      <c r="C9" s="4">
        <v>51</v>
      </c>
      <c r="D9" s="1" t="s">
        <v>5</v>
      </c>
      <c r="E9" s="6">
        <f>(C11)/(C10*C10)*703</f>
        <v>23.672448979591838</v>
      </c>
      <c r="F9" s="5"/>
      <c r="G9" s="5"/>
      <c r="H9" s="5"/>
      <c r="I9" s="1"/>
      <c r="J9" s="1" t="s">
        <v>11</v>
      </c>
      <c r="K9" s="1">
        <v>1.1000000000000001</v>
      </c>
      <c r="L9" s="1">
        <v>1.2</v>
      </c>
      <c r="M9" s="1">
        <v>1.3</v>
      </c>
      <c r="N9" s="1">
        <v>1.4</v>
      </c>
      <c r="O9" s="1">
        <v>1.5</v>
      </c>
      <c r="P9" s="5"/>
      <c r="Q9" s="3" t="s">
        <v>29</v>
      </c>
      <c r="R9" s="24" t="s">
        <v>12</v>
      </c>
      <c r="S9" s="24"/>
      <c r="T9" s="24" t="s">
        <v>14</v>
      </c>
      <c r="U9" s="24"/>
      <c r="V9" s="24" t="s">
        <v>15</v>
      </c>
      <c r="W9" s="24"/>
    </row>
    <row r="10" spans="2:23" x14ac:dyDescent="0.25">
      <c r="B10" s="1" t="s">
        <v>1</v>
      </c>
      <c r="C10" s="4">
        <v>70</v>
      </c>
      <c r="D10" s="1" t="s">
        <v>3</v>
      </c>
      <c r="E10" s="2">
        <f>C10*2.54</f>
        <v>177.8</v>
      </c>
      <c r="F10" s="5"/>
      <c r="G10" s="5"/>
      <c r="H10" s="5"/>
      <c r="I10" s="1" t="s">
        <v>8</v>
      </c>
      <c r="J10" s="7">
        <f>10*(E11)+6.25*(E10)-5*(C9)+5</f>
        <v>1609.8209100807549</v>
      </c>
      <c r="K10" s="7">
        <f>K9*J10</f>
        <v>1770.8030010888306</v>
      </c>
      <c r="L10" s="7">
        <f>L9*J10</f>
        <v>1931.7850920969058</v>
      </c>
      <c r="M10" s="7">
        <f>M9*J10</f>
        <v>2092.7671831049815</v>
      </c>
      <c r="N10" s="7">
        <f>N9*J10</f>
        <v>2253.7492741130568</v>
      </c>
      <c r="O10" s="7">
        <f>O9*J10</f>
        <v>2414.7313651211325</v>
      </c>
      <c r="P10" s="5"/>
      <c r="Q10" s="2"/>
      <c r="R10" s="25"/>
      <c r="S10" s="25"/>
      <c r="T10" s="1" t="s">
        <v>8</v>
      </c>
      <c r="U10" s="1" t="s">
        <v>9</v>
      </c>
      <c r="V10" s="1" t="s">
        <v>8</v>
      </c>
      <c r="W10" s="1" t="s">
        <v>9</v>
      </c>
    </row>
    <row r="11" spans="2:23" x14ac:dyDescent="0.25">
      <c r="B11" s="1" t="s">
        <v>2</v>
      </c>
      <c r="C11" s="4">
        <v>165</v>
      </c>
      <c r="D11" s="1" t="s">
        <v>4</v>
      </c>
      <c r="E11" s="6">
        <f>C11/2.2042</f>
        <v>74.857091008075486</v>
      </c>
      <c r="F11" s="5"/>
      <c r="G11" s="5"/>
      <c r="H11" s="5"/>
      <c r="I11" s="1" t="s">
        <v>9</v>
      </c>
      <c r="J11" s="7">
        <f>10*(E11)+6.25*(E10)-5*(C9)-161</f>
        <v>1443.8209100807549</v>
      </c>
      <c r="K11" s="7">
        <f>K9*J11</f>
        <v>1588.2030010888304</v>
      </c>
      <c r="L11" s="7">
        <f>L9*J11</f>
        <v>1732.5850920969058</v>
      </c>
      <c r="M11" s="7">
        <f>M9*J11</f>
        <v>1876.9671831049814</v>
      </c>
      <c r="N11" s="7">
        <f>N9*J11</f>
        <v>2021.3492741130567</v>
      </c>
      <c r="O11" s="7">
        <f>O9*J11</f>
        <v>2165.7313651211325</v>
      </c>
      <c r="P11" s="5"/>
      <c r="Q11" s="1">
        <v>0.6</v>
      </c>
      <c r="R11" s="16">
        <f>Q11*E11</f>
        <v>44.91425460484529</v>
      </c>
      <c r="S11" s="16"/>
      <c r="T11" s="7">
        <f>Q11*C21</f>
        <v>45.163636363636357</v>
      </c>
      <c r="U11" s="7">
        <f>Q11*E21</f>
        <v>42.54545454545454</v>
      </c>
      <c r="V11" s="7">
        <f>Q11*C16</f>
        <v>45.272727272727273</v>
      </c>
      <c r="W11" s="7">
        <f>Q11*F16</f>
        <v>40.909090909090899</v>
      </c>
    </row>
    <row r="12" spans="2:23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">
        <v>0.8</v>
      </c>
      <c r="R12" s="16">
        <f>Q12*E11</f>
        <v>59.885672806460391</v>
      </c>
      <c r="S12" s="16"/>
      <c r="T12" s="7">
        <f>Q12*C21</f>
        <v>60.218181818181819</v>
      </c>
      <c r="U12" s="7">
        <f>Q12*E21</f>
        <v>56.727272727272727</v>
      </c>
      <c r="V12" s="7">
        <f>Q12*C16</f>
        <v>60.363636363636367</v>
      </c>
      <c r="W12" s="7">
        <f>Q12*F16</f>
        <v>54.54545454545454</v>
      </c>
    </row>
    <row r="13" spans="2:23" x14ac:dyDescent="0.25">
      <c r="B13" s="18" t="s">
        <v>7</v>
      </c>
      <c r="C13" s="18"/>
      <c r="D13" s="18"/>
      <c r="E13" s="18"/>
      <c r="F13" s="18"/>
      <c r="G13" s="18"/>
      <c r="H13" s="5"/>
      <c r="I13" s="18" t="s">
        <v>53</v>
      </c>
      <c r="J13" s="18"/>
      <c r="K13" s="18"/>
      <c r="L13" s="18"/>
      <c r="M13" s="18"/>
      <c r="N13" s="18"/>
      <c r="O13" s="18"/>
      <c r="P13" s="5"/>
      <c r="Q13" s="1">
        <v>1</v>
      </c>
      <c r="R13" s="16">
        <f>Q13*E11</f>
        <v>74.857091008075486</v>
      </c>
      <c r="S13" s="16"/>
      <c r="T13" s="7">
        <f>Q13*C21</f>
        <v>75.272727272727266</v>
      </c>
      <c r="U13" s="7">
        <f>Q13*E21</f>
        <v>70.909090909090907</v>
      </c>
      <c r="V13" s="7">
        <f>Q13*C16</f>
        <v>75.454545454545453</v>
      </c>
      <c r="W13" s="7">
        <f>Q13*F16</f>
        <v>68.181818181818173</v>
      </c>
    </row>
    <row r="14" spans="2:23" x14ac:dyDescent="0.25">
      <c r="B14" s="15" t="s">
        <v>8</v>
      </c>
      <c r="C14" s="15"/>
      <c r="D14" s="15"/>
      <c r="E14" s="15" t="s">
        <v>9</v>
      </c>
      <c r="F14" s="15"/>
      <c r="G14" s="15"/>
      <c r="H14" s="5"/>
      <c r="I14" s="1"/>
      <c r="J14" s="1" t="s">
        <v>13</v>
      </c>
      <c r="K14" s="1">
        <v>1.1000000000000001</v>
      </c>
      <c r="L14" s="1">
        <v>1.2</v>
      </c>
      <c r="M14" s="1">
        <v>1.3</v>
      </c>
      <c r="N14" s="1">
        <v>1.4</v>
      </c>
      <c r="O14" s="1">
        <v>1.5</v>
      </c>
      <c r="P14" s="5"/>
      <c r="Q14" s="1">
        <v>1.2</v>
      </c>
      <c r="R14" s="16">
        <f>Q14*E11</f>
        <v>89.82850920969058</v>
      </c>
      <c r="S14" s="16"/>
      <c r="T14" s="7">
        <f>Q14*C21</f>
        <v>90.327272727272714</v>
      </c>
      <c r="U14" s="7">
        <f>Q14*E21</f>
        <v>85.090909090909079</v>
      </c>
      <c r="V14" s="7">
        <f>Q14*C16</f>
        <v>90.545454545454547</v>
      </c>
      <c r="W14" s="7">
        <f>Q14*F16</f>
        <v>81.818181818181799</v>
      </c>
    </row>
    <row r="15" spans="2:23" x14ac:dyDescent="0.25">
      <c r="B15" s="1" t="s">
        <v>28</v>
      </c>
      <c r="C15" s="1" t="s">
        <v>4</v>
      </c>
      <c r="D15" s="1" t="s">
        <v>10</v>
      </c>
      <c r="E15" s="1" t="s">
        <v>28</v>
      </c>
      <c r="F15" s="1" t="s">
        <v>4</v>
      </c>
      <c r="G15" s="1" t="s">
        <v>10</v>
      </c>
      <c r="H15" s="5"/>
      <c r="I15" s="1" t="s">
        <v>8</v>
      </c>
      <c r="J15" s="7">
        <f>66.473+(13.7516*E11)+(5.0033*E10)-(6.755*C9)</f>
        <v>1640.9595127066509</v>
      </c>
      <c r="K15" s="7">
        <f>J15*K14</f>
        <v>1805.0554639773161</v>
      </c>
      <c r="L15" s="7">
        <f>J15*L14</f>
        <v>1969.151415247981</v>
      </c>
      <c r="M15" s="7">
        <f>J15*M14</f>
        <v>2133.2473665186462</v>
      </c>
      <c r="N15" s="7">
        <f>J15*N14</f>
        <v>2297.3433177893112</v>
      </c>
      <c r="O15" s="7">
        <f>J15*O14</f>
        <v>2461.4392690599761</v>
      </c>
      <c r="P15" s="5"/>
      <c r="Q15" s="1">
        <v>1.25</v>
      </c>
      <c r="R15" s="16">
        <f>Q15*E11</f>
        <v>93.571363760094357</v>
      </c>
      <c r="S15" s="16"/>
      <c r="T15" s="7">
        <f>Q15*C21</f>
        <v>94.090909090909079</v>
      </c>
      <c r="U15" s="7">
        <f>Q15*E21</f>
        <v>88.636363636363626</v>
      </c>
      <c r="V15" s="7">
        <f>Q15*C16</f>
        <v>94.318181818181813</v>
      </c>
      <c r="W15" s="7">
        <f>Q15*F16</f>
        <v>85.22727272727272</v>
      </c>
    </row>
    <row r="16" spans="2:23" x14ac:dyDescent="0.25">
      <c r="B16" s="7">
        <f>106+(6*(C10-60))</f>
        <v>166</v>
      </c>
      <c r="C16" s="6">
        <f>B16/2.2</f>
        <v>75.454545454545453</v>
      </c>
      <c r="D16" s="7">
        <f>(C11/B16)*100</f>
        <v>99.397590361445793</v>
      </c>
      <c r="E16" s="7">
        <f>100+(5*(C10-60))</f>
        <v>150</v>
      </c>
      <c r="F16" s="6">
        <f>E16/2.2</f>
        <v>68.181818181818173</v>
      </c>
      <c r="G16" s="7">
        <f>(C11/E16)*100</f>
        <v>110.00000000000001</v>
      </c>
      <c r="H16" s="5"/>
      <c r="I16" s="1" t="s">
        <v>9</v>
      </c>
      <c r="J16" s="7">
        <f>655.0955+(9.5634*E11)+(1.8496*E10)-(4.6756*C9)</f>
        <v>1461.3870841466291</v>
      </c>
      <c r="K16" s="7">
        <f>J16*K14</f>
        <v>1607.5257925612923</v>
      </c>
      <c r="L16" s="7">
        <f>J16*L14</f>
        <v>1753.664500975955</v>
      </c>
      <c r="M16" s="7">
        <f>J16*M14</f>
        <v>1899.8032093906179</v>
      </c>
      <c r="N16" s="7">
        <f>J16*N14</f>
        <v>2045.9419178052806</v>
      </c>
      <c r="O16" s="7">
        <f>J16*O14</f>
        <v>2192.080626219944</v>
      </c>
      <c r="P16" s="5"/>
      <c r="Q16" s="1">
        <v>1.3</v>
      </c>
      <c r="R16" s="16">
        <f>Q16*E11</f>
        <v>97.314218310498134</v>
      </c>
      <c r="S16" s="16"/>
      <c r="T16" s="7">
        <f>Q16*C21</f>
        <v>97.854545454545445</v>
      </c>
      <c r="U16" s="7">
        <f>Q16*E21</f>
        <v>92.181818181818187</v>
      </c>
      <c r="V16" s="7">
        <f>Q16*C16</f>
        <v>98.090909090909093</v>
      </c>
      <c r="W16" s="7">
        <f>Q16*F16</f>
        <v>88.636363636363626</v>
      </c>
    </row>
    <row r="17" spans="2:23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>
        <v>1.4</v>
      </c>
      <c r="R17" s="16">
        <f>Q17*E11</f>
        <v>104.79992741130567</v>
      </c>
      <c r="S17" s="16"/>
      <c r="T17" s="7">
        <f>Q17*C21</f>
        <v>105.38181818181816</v>
      </c>
      <c r="U17" s="7">
        <f>Q17*E21</f>
        <v>99.272727272727266</v>
      </c>
      <c r="V17" s="7">
        <f>Q17*C16</f>
        <v>105.63636363636363</v>
      </c>
      <c r="W17" s="7">
        <f>Q17*F16</f>
        <v>95.454545454545439</v>
      </c>
    </row>
    <row r="18" spans="2:23" x14ac:dyDescent="0.25">
      <c r="B18" s="21" t="s">
        <v>16</v>
      </c>
      <c r="C18" s="22"/>
      <c r="D18" s="22"/>
      <c r="E18" s="23"/>
      <c r="F18" s="5"/>
      <c r="G18" s="5"/>
      <c r="H18" s="5"/>
      <c r="J18" s="18" t="s">
        <v>54</v>
      </c>
      <c r="K18" s="18"/>
      <c r="L18" s="18"/>
      <c r="M18" s="18"/>
      <c r="N18" s="18"/>
      <c r="O18" s="5"/>
      <c r="P18" s="5"/>
      <c r="Q18" s="1">
        <v>1.5</v>
      </c>
      <c r="R18" s="16">
        <f>Q18*E11</f>
        <v>112.28563651211323</v>
      </c>
      <c r="S18" s="16"/>
      <c r="T18" s="7">
        <f>Q18*C21</f>
        <v>112.90909090909091</v>
      </c>
      <c r="U18" s="7">
        <f>Q18*E21</f>
        <v>106.36363636363636</v>
      </c>
      <c r="V18" s="7">
        <f>Q18*C16</f>
        <v>113.18181818181819</v>
      </c>
      <c r="W18" s="7">
        <f>Q18*F16</f>
        <v>102.27272727272725</v>
      </c>
    </row>
    <row r="19" spans="2:23" x14ac:dyDescent="0.25">
      <c r="B19" s="19" t="s">
        <v>8</v>
      </c>
      <c r="C19" s="20"/>
      <c r="D19" s="19" t="s">
        <v>9</v>
      </c>
      <c r="E19" s="20"/>
      <c r="F19" s="5"/>
      <c r="G19" s="5"/>
      <c r="H19" s="5"/>
      <c r="J19" s="15" t="s">
        <v>8</v>
      </c>
      <c r="K19" s="15"/>
      <c r="L19" s="16">
        <f>(66+(13.7*E11)+5*(E10)-6.76*(C9))+((55.96*F31)-168)</f>
        <v>2531.0221468106338</v>
      </c>
      <c r="M19" s="16"/>
      <c r="N19" s="16"/>
      <c r="O19" s="5"/>
      <c r="P19" s="5"/>
      <c r="Q19" s="1">
        <v>1.8</v>
      </c>
      <c r="R19" s="16">
        <f>Q19*E11</f>
        <v>134.74276381453589</v>
      </c>
      <c r="S19" s="16"/>
      <c r="T19" s="7">
        <f>Q19*C21</f>
        <v>135.49090909090907</v>
      </c>
      <c r="U19" s="7">
        <f>Q19*E21</f>
        <v>127.63636363636364</v>
      </c>
      <c r="V19" s="7">
        <f>Q19*C16</f>
        <v>135.81818181818181</v>
      </c>
      <c r="W19" s="7">
        <f>Q19*F16</f>
        <v>122.72727272727272</v>
      </c>
    </row>
    <row r="20" spans="2:23" x14ac:dyDescent="0.25">
      <c r="B20" s="1" t="s">
        <v>28</v>
      </c>
      <c r="C20" s="1" t="s">
        <v>4</v>
      </c>
      <c r="D20" s="1" t="s">
        <v>28</v>
      </c>
      <c r="E20" s="1" t="s">
        <v>4</v>
      </c>
      <c r="F20" s="5"/>
      <c r="G20" s="5"/>
      <c r="H20" s="5"/>
      <c r="J20" s="15" t="s">
        <v>9</v>
      </c>
      <c r="K20" s="15"/>
      <c r="L20" s="16">
        <f>(655+(9.6*E11)+1.8*(E10)-4.7*(C9))+((55.96*F31)-168)</f>
        <v>2349.2080736775247</v>
      </c>
      <c r="M20" s="16"/>
      <c r="N20" s="16"/>
      <c r="O20" s="5"/>
      <c r="P20" s="5"/>
      <c r="Q20" s="1">
        <v>2</v>
      </c>
      <c r="R20" s="16">
        <f>Q20*E11</f>
        <v>149.71418201615097</v>
      </c>
      <c r="S20" s="16"/>
      <c r="T20" s="7">
        <f>Q20*C21</f>
        <v>150.54545454545453</v>
      </c>
      <c r="U20" s="7">
        <f>Q20*E21</f>
        <v>141.81818181818181</v>
      </c>
      <c r="V20" s="7">
        <f>Q20*C16</f>
        <v>150.90909090909091</v>
      </c>
      <c r="W20" s="7">
        <f>Q20*F16</f>
        <v>136.36363636363635</v>
      </c>
    </row>
    <row r="21" spans="2:23" x14ac:dyDescent="0.25">
      <c r="B21" s="7">
        <f>((C11-B16)*0.4)+B16</f>
        <v>165.6</v>
      </c>
      <c r="C21" s="6">
        <f>B21/2.2</f>
        <v>75.272727272727266</v>
      </c>
      <c r="D21" s="2">
        <f>((C11-E16)*0.4)+E16</f>
        <v>156</v>
      </c>
      <c r="E21" s="6">
        <f>D21/2.2</f>
        <v>70.909090909090907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">
        <v>2.5</v>
      </c>
      <c r="R21" s="16">
        <f>Q21*E11</f>
        <v>187.14272752018871</v>
      </c>
      <c r="S21" s="16"/>
      <c r="T21" s="7">
        <f>Q21*C21</f>
        <v>188.18181818181816</v>
      </c>
      <c r="U21" s="7">
        <f>Q21*E21</f>
        <v>177.27272727272725</v>
      </c>
      <c r="V21" s="7">
        <f>Q21*C16</f>
        <v>188.63636363636363</v>
      </c>
      <c r="W21" s="7">
        <f>Q21*F16</f>
        <v>170.45454545454544</v>
      </c>
    </row>
    <row r="22" spans="2:23" x14ac:dyDescent="0.25">
      <c r="B22" s="5"/>
      <c r="C22" s="5"/>
      <c r="D22" s="5"/>
      <c r="E22" s="5"/>
      <c r="F22" s="5"/>
      <c r="G22" s="5"/>
      <c r="H22" s="5"/>
      <c r="I22" s="18" t="s">
        <v>46</v>
      </c>
      <c r="J22" s="18"/>
      <c r="K22" s="18"/>
      <c r="L22" s="18"/>
      <c r="M22" s="18"/>
      <c r="N22" s="18"/>
      <c r="O22" s="18"/>
      <c r="P22" s="5"/>
      <c r="Q22" s="5"/>
      <c r="R22" s="5"/>
      <c r="S22" s="5"/>
      <c r="T22" s="5"/>
      <c r="U22" s="5"/>
      <c r="V22" s="5"/>
      <c r="W22" s="5"/>
    </row>
    <row r="23" spans="2:23" x14ac:dyDescent="0.25">
      <c r="B23" s="18" t="s">
        <v>17</v>
      </c>
      <c r="C23" s="18"/>
      <c r="D23" s="18"/>
      <c r="E23" s="18"/>
      <c r="F23" s="18"/>
      <c r="G23" s="5"/>
      <c r="H23" s="5"/>
      <c r="I23" s="1" t="s">
        <v>41</v>
      </c>
      <c r="J23" s="15" t="s">
        <v>12</v>
      </c>
      <c r="K23" s="15"/>
      <c r="L23" s="15" t="s">
        <v>14</v>
      </c>
      <c r="M23" s="15"/>
      <c r="N23" s="15" t="s">
        <v>15</v>
      </c>
      <c r="O23" s="15"/>
      <c r="P23" s="5"/>
      <c r="Q23" s="18" t="s">
        <v>51</v>
      </c>
      <c r="R23" s="18"/>
      <c r="S23" s="18"/>
      <c r="T23" s="18"/>
      <c r="U23" s="18"/>
      <c r="V23" s="18"/>
      <c r="W23" s="18"/>
    </row>
    <row r="24" spans="2:23" x14ac:dyDescent="0.25">
      <c r="B24" s="15" t="s">
        <v>21</v>
      </c>
      <c r="C24" s="15"/>
      <c r="D24" s="15"/>
      <c r="E24" s="15"/>
      <c r="F24" s="3" t="s">
        <v>24</v>
      </c>
      <c r="G24" s="5"/>
      <c r="H24" s="5"/>
      <c r="I24" s="1"/>
      <c r="J24" s="19"/>
      <c r="K24" s="20"/>
      <c r="L24" s="1" t="s">
        <v>8</v>
      </c>
      <c r="M24" s="1" t="s">
        <v>9</v>
      </c>
      <c r="N24" s="1" t="s">
        <v>8</v>
      </c>
      <c r="O24" s="1" t="s">
        <v>9</v>
      </c>
      <c r="P24" s="5"/>
      <c r="Q24" s="15" t="s">
        <v>8</v>
      </c>
      <c r="R24" s="15"/>
      <c r="S24" s="15"/>
      <c r="T24" s="16">
        <f>(0.087+(0.001151*L19))*1000</f>
        <v>3000.2064909790397</v>
      </c>
      <c r="U24" s="16"/>
      <c r="V24" s="16"/>
      <c r="W24" s="16"/>
    </row>
    <row r="25" spans="2:23" x14ac:dyDescent="0.25">
      <c r="B25" s="15" t="s">
        <v>18</v>
      </c>
      <c r="C25" s="15"/>
      <c r="D25" s="15"/>
      <c r="E25" s="15"/>
      <c r="F25" s="4">
        <v>4</v>
      </c>
      <c r="G25" s="5"/>
      <c r="H25" s="5"/>
      <c r="I25" s="1">
        <v>11</v>
      </c>
      <c r="J25" s="16">
        <f>E11*I25</f>
        <v>823.42800108883034</v>
      </c>
      <c r="K25" s="16"/>
      <c r="L25" s="7">
        <f>(C21)*I25</f>
        <v>827.99999999999989</v>
      </c>
      <c r="M25" s="7">
        <f>E21*I25</f>
        <v>780</v>
      </c>
      <c r="N25" s="7">
        <f>C16*I25</f>
        <v>830</v>
      </c>
      <c r="O25" s="7">
        <f>F16*I25</f>
        <v>749.99999999999989</v>
      </c>
      <c r="P25" s="5"/>
      <c r="Q25" s="14" t="s">
        <v>9</v>
      </c>
      <c r="R25" s="14"/>
      <c r="S25" s="14"/>
      <c r="T25" s="16">
        <f>(0.087+(0.001151*L20))*1000</f>
        <v>2790.9384928028308</v>
      </c>
      <c r="U25" s="16"/>
      <c r="V25" s="16"/>
      <c r="W25" s="16"/>
    </row>
    <row r="26" spans="2:23" x14ac:dyDescent="0.25">
      <c r="B26" s="15" t="s">
        <v>19</v>
      </c>
      <c r="C26" s="15"/>
      <c r="D26" s="15"/>
      <c r="E26" s="15"/>
      <c r="F26" s="4">
        <v>3</v>
      </c>
      <c r="G26" s="5"/>
      <c r="H26" s="5"/>
      <c r="I26" s="1">
        <v>14</v>
      </c>
      <c r="J26" s="16">
        <f>E11*I26</f>
        <v>1047.9992741130568</v>
      </c>
      <c r="K26" s="16"/>
      <c r="L26" s="7">
        <f>(C21)*I26</f>
        <v>1053.8181818181818</v>
      </c>
      <c r="M26" s="7">
        <f>E21*I26</f>
        <v>992.72727272727275</v>
      </c>
      <c r="N26" s="7">
        <f>C16*I26</f>
        <v>1056.3636363636363</v>
      </c>
      <c r="O26" s="7">
        <f>F16*I26</f>
        <v>954.54545454545439</v>
      </c>
      <c r="P26" s="5"/>
      <c r="Q26" s="5"/>
      <c r="R26" s="5"/>
      <c r="S26" s="5"/>
      <c r="T26" s="5"/>
      <c r="U26" s="5"/>
      <c r="V26" s="5"/>
      <c r="W26" s="5"/>
    </row>
    <row r="27" spans="2:23" x14ac:dyDescent="0.25">
      <c r="B27" s="15" t="s">
        <v>22</v>
      </c>
      <c r="C27" s="15"/>
      <c r="D27" s="15"/>
      <c r="E27" s="15"/>
      <c r="F27" s="4">
        <v>4</v>
      </c>
      <c r="G27" s="5"/>
      <c r="H27" s="5"/>
      <c r="I27" s="1">
        <v>20</v>
      </c>
      <c r="J27" s="16">
        <f>E11*I27</f>
        <v>1497.1418201615097</v>
      </c>
      <c r="K27" s="16"/>
      <c r="L27" s="7">
        <f>(C21)*I27</f>
        <v>1505.4545454545453</v>
      </c>
      <c r="M27" s="7">
        <f>E21*I27</f>
        <v>1418.181818181818</v>
      </c>
      <c r="N27" s="7">
        <f>C16*I27</f>
        <v>1509.090909090909</v>
      </c>
      <c r="O27" s="7">
        <f>F16*I27</f>
        <v>1363.6363636363635</v>
      </c>
      <c r="P27" s="5"/>
      <c r="Q27" s="18" t="s">
        <v>48</v>
      </c>
      <c r="R27" s="18"/>
      <c r="S27" s="18"/>
      <c r="T27" s="18"/>
      <c r="U27" s="18"/>
      <c r="V27" s="18"/>
      <c r="W27" s="18"/>
    </row>
    <row r="28" spans="2:23" x14ac:dyDescent="0.25">
      <c r="B28" s="15" t="s">
        <v>23</v>
      </c>
      <c r="C28" s="15"/>
      <c r="D28" s="15"/>
      <c r="E28" s="15"/>
      <c r="F28" s="4">
        <v>3</v>
      </c>
      <c r="G28" s="5"/>
      <c r="H28" s="5"/>
      <c r="I28" s="1">
        <v>22</v>
      </c>
      <c r="J28" s="16">
        <f>E11*I28</f>
        <v>1646.8560021776607</v>
      </c>
      <c r="K28" s="16"/>
      <c r="L28" s="7">
        <f>(C21)*I28</f>
        <v>1655.9999999999998</v>
      </c>
      <c r="M28" s="7">
        <f>E21*I28</f>
        <v>1560</v>
      </c>
      <c r="N28" s="7">
        <f>C16*I28</f>
        <v>1660</v>
      </c>
      <c r="O28" s="7">
        <f>F16*I28</f>
        <v>1499.9999999999998</v>
      </c>
      <c r="P28" s="5"/>
      <c r="Q28" s="15" t="s">
        <v>30</v>
      </c>
      <c r="R28" s="15"/>
      <c r="S28" s="1" t="s">
        <v>31</v>
      </c>
      <c r="T28" s="16">
        <f>35*E11</f>
        <v>2619.9981852826422</v>
      </c>
      <c r="U28" s="16"/>
      <c r="V28" s="16"/>
      <c r="W28" s="16"/>
    </row>
    <row r="29" spans="2:23" x14ac:dyDescent="0.25">
      <c r="B29" s="15" t="s">
        <v>20</v>
      </c>
      <c r="C29" s="15"/>
      <c r="D29" s="15"/>
      <c r="E29" s="15"/>
      <c r="F29" s="4">
        <v>2</v>
      </c>
      <c r="G29" s="5"/>
      <c r="H29" s="5"/>
      <c r="I29" s="1">
        <v>25</v>
      </c>
      <c r="J29" s="16">
        <f>E11*I29</f>
        <v>1871.4272752018871</v>
      </c>
      <c r="K29" s="16"/>
      <c r="L29" s="7">
        <f>(C21)*I29</f>
        <v>1881.8181818181818</v>
      </c>
      <c r="M29" s="7">
        <f>E21*I29</f>
        <v>1772.7272727272727</v>
      </c>
      <c r="N29" s="7">
        <f>C16*I29</f>
        <v>1886.3636363636363</v>
      </c>
      <c r="O29" s="7">
        <f>F16*I29</f>
        <v>1704.5454545454543</v>
      </c>
      <c r="P29" s="5"/>
      <c r="Q29" s="15" t="s">
        <v>34</v>
      </c>
      <c r="R29" s="15"/>
      <c r="S29" s="1" t="s">
        <v>32</v>
      </c>
      <c r="T29" s="16">
        <f>30*E11</f>
        <v>2245.7127302422646</v>
      </c>
      <c r="U29" s="16"/>
      <c r="V29" s="16"/>
      <c r="W29" s="16"/>
    </row>
    <row r="30" spans="2:23" x14ac:dyDescent="0.25">
      <c r="B30" s="15" t="s">
        <v>47</v>
      </c>
      <c r="C30" s="15"/>
      <c r="D30" s="15"/>
      <c r="E30" s="15"/>
      <c r="F30" s="4">
        <v>3</v>
      </c>
      <c r="G30" s="5"/>
      <c r="H30" s="5"/>
      <c r="I30" s="1">
        <v>30</v>
      </c>
      <c r="J30" s="16">
        <f>E11*I30</f>
        <v>2245.7127302422646</v>
      </c>
      <c r="K30" s="16"/>
      <c r="L30" s="7">
        <f>(C21)*I30</f>
        <v>2258.181818181818</v>
      </c>
      <c r="M30" s="7">
        <f>E21*I30</f>
        <v>2127.272727272727</v>
      </c>
      <c r="N30" s="7">
        <f>C16*I30</f>
        <v>2263.6363636363635</v>
      </c>
      <c r="O30" s="7">
        <f>F16*I30</f>
        <v>2045.4545454545453</v>
      </c>
      <c r="P30" s="5"/>
      <c r="Q30" s="15" t="s">
        <v>37</v>
      </c>
      <c r="R30" s="15"/>
      <c r="S30" s="1" t="s">
        <v>33</v>
      </c>
      <c r="T30" s="16">
        <f>25*E11</f>
        <v>1871.4272752018871</v>
      </c>
      <c r="U30" s="16"/>
      <c r="V30" s="16"/>
      <c r="W30" s="16"/>
    </row>
    <row r="31" spans="2:23" x14ac:dyDescent="0.25">
      <c r="B31" s="15" t="s">
        <v>26</v>
      </c>
      <c r="C31" s="15"/>
      <c r="D31" s="15"/>
      <c r="E31" s="15"/>
      <c r="F31" s="2">
        <f>SUM(F25:F30)</f>
        <v>19</v>
      </c>
      <c r="G31" s="5"/>
      <c r="H31" s="5"/>
      <c r="I31" s="1">
        <v>35</v>
      </c>
      <c r="J31" s="16">
        <f>E11*I31</f>
        <v>2619.9981852826422</v>
      </c>
      <c r="K31" s="16"/>
      <c r="L31" s="7">
        <f>(C21)*I31</f>
        <v>2634.5454545454545</v>
      </c>
      <c r="M31" s="7">
        <f>E21*I31</f>
        <v>2481.8181818181815</v>
      </c>
      <c r="N31" s="7">
        <f>C16*I31</f>
        <v>2640.909090909091</v>
      </c>
      <c r="O31" s="7">
        <f>F16*I31</f>
        <v>2386.363636363636</v>
      </c>
      <c r="P31" s="5"/>
      <c r="Q31" s="5"/>
      <c r="R31" s="5"/>
      <c r="S31" s="5"/>
      <c r="T31" s="5"/>
      <c r="U31" s="5"/>
      <c r="V31" s="5"/>
      <c r="W31" s="5"/>
    </row>
    <row r="32" spans="2:23" x14ac:dyDescent="0.25">
      <c r="B32" s="5"/>
      <c r="C32" s="5"/>
      <c r="D32" s="5"/>
      <c r="E32" s="5"/>
      <c r="F32" s="5"/>
      <c r="G32" s="5"/>
      <c r="H32" s="5"/>
      <c r="I32" s="1">
        <v>40</v>
      </c>
      <c r="J32" s="16">
        <f>E11*I32</f>
        <v>2994.2836403230194</v>
      </c>
      <c r="K32" s="16"/>
      <c r="L32" s="7">
        <f>(C21)*I32</f>
        <v>3010.9090909090905</v>
      </c>
      <c r="M32" s="7">
        <f>E21*I32</f>
        <v>2836.363636363636</v>
      </c>
      <c r="N32" s="7">
        <f>C16*I32</f>
        <v>3018.181818181818</v>
      </c>
      <c r="O32" s="7">
        <f>F16*I32</f>
        <v>2727.272727272727</v>
      </c>
      <c r="P32" s="5"/>
      <c r="Q32" s="18" t="s">
        <v>49</v>
      </c>
      <c r="R32" s="18"/>
      <c r="S32" s="18"/>
      <c r="T32" s="18"/>
      <c r="U32" s="18"/>
      <c r="V32" s="18"/>
      <c r="W32" s="18"/>
    </row>
    <row r="33" spans="8:23" x14ac:dyDescent="0.25">
      <c r="H33" s="5"/>
      <c r="I33" s="1">
        <v>45</v>
      </c>
      <c r="J33" s="16">
        <f>E11*I33</f>
        <v>3368.5690953633966</v>
      </c>
      <c r="K33" s="16"/>
      <c r="L33" s="7">
        <f>(C21)*I33</f>
        <v>3387.272727272727</v>
      </c>
      <c r="M33" s="7">
        <f>E21*I33</f>
        <v>3190.909090909091</v>
      </c>
      <c r="N33" s="7">
        <f>C16*I33</f>
        <v>3395.4545454545455</v>
      </c>
      <c r="O33" s="7">
        <f>F16*I33</f>
        <v>3068.1818181818176</v>
      </c>
      <c r="P33" s="5"/>
      <c r="Q33" s="15" t="s">
        <v>39</v>
      </c>
      <c r="R33" s="15"/>
      <c r="S33" s="15"/>
      <c r="T33" s="16">
        <f xml:space="preserve"> 1500 + (20*(E11-20))</f>
        <v>2597.1418201615097</v>
      </c>
      <c r="U33" s="16"/>
      <c r="V33" s="16"/>
      <c r="W33" s="16"/>
    </row>
    <row r="34" spans="8:23" x14ac:dyDescent="0.25">
      <c r="Q34" s="14" t="s">
        <v>36</v>
      </c>
      <c r="R34" s="14"/>
      <c r="S34" s="14"/>
      <c r="T34" s="13">
        <f>1500 + (15*(E11-20))</f>
        <v>2322.8563651211325</v>
      </c>
      <c r="U34" s="13"/>
      <c r="V34" s="13"/>
      <c r="W34" s="13"/>
    </row>
    <row r="36" spans="8:23" x14ac:dyDescent="0.25">
      <c r="Q36" s="17" t="s">
        <v>50</v>
      </c>
      <c r="R36" s="17"/>
      <c r="S36" s="17"/>
      <c r="T36" s="17"/>
      <c r="U36" s="17"/>
      <c r="V36" s="17"/>
      <c r="W36" s="17"/>
    </row>
    <row r="37" spans="8:23" x14ac:dyDescent="0.25">
      <c r="Q37" s="14" t="s">
        <v>40</v>
      </c>
      <c r="R37" s="14"/>
      <c r="S37" s="14"/>
      <c r="T37" s="13">
        <f>(T28+T33)/2</f>
        <v>2608.570002722076</v>
      </c>
      <c r="U37" s="13"/>
      <c r="V37" s="13"/>
      <c r="W37" s="13"/>
    </row>
    <row r="38" spans="8:23" x14ac:dyDescent="0.25">
      <c r="Q38" s="14" t="s">
        <v>38</v>
      </c>
      <c r="R38" s="14"/>
      <c r="S38" s="14"/>
      <c r="T38" s="13">
        <f>(T28+T34)/2</f>
        <v>2471.4272752018874</v>
      </c>
      <c r="U38" s="13"/>
      <c r="V38" s="13"/>
      <c r="W38" s="13"/>
    </row>
    <row r="39" spans="8:23" x14ac:dyDescent="0.25">
      <c r="Q39" s="14" t="s">
        <v>34</v>
      </c>
      <c r="R39" s="14"/>
      <c r="S39" s="14"/>
      <c r="T39" s="13">
        <f>(T29+T34)/2</f>
        <v>2284.2845476816983</v>
      </c>
      <c r="U39" s="13"/>
      <c r="V39" s="13"/>
      <c r="W39" s="13"/>
    </row>
    <row r="40" spans="8:23" x14ac:dyDescent="0.25">
      <c r="Q40" s="14" t="s">
        <v>35</v>
      </c>
      <c r="R40" s="14"/>
      <c r="S40" s="14"/>
      <c r="T40" s="13">
        <f>(T30+T34)/2</f>
        <v>2097.1418201615097</v>
      </c>
      <c r="U40" s="13"/>
      <c r="V40" s="13"/>
      <c r="W40" s="13"/>
    </row>
    <row r="42" spans="8:23" x14ac:dyDescent="0.25">
      <c r="Q42" s="9" t="s">
        <v>42</v>
      </c>
      <c r="R42" s="9"/>
      <c r="S42" s="9"/>
      <c r="T42" s="9"/>
      <c r="U42" s="9"/>
      <c r="V42" s="9"/>
      <c r="W42" s="9"/>
    </row>
    <row r="43" spans="8:23" x14ac:dyDescent="0.25">
      <c r="Q43" s="9"/>
      <c r="R43" s="9"/>
      <c r="S43" s="9"/>
      <c r="T43" s="9"/>
      <c r="U43" s="9"/>
      <c r="V43" s="9"/>
      <c r="W43" s="9"/>
    </row>
  </sheetData>
  <mergeCells count="84">
    <mergeCell ref="J33:K33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J18:N18"/>
    <mergeCell ref="J19:K19"/>
    <mergeCell ref="J20:K20"/>
    <mergeCell ref="J27:K27"/>
    <mergeCell ref="J24:K24"/>
    <mergeCell ref="R10:S10"/>
    <mergeCell ref="R21:S21"/>
    <mergeCell ref="B31:E31"/>
    <mergeCell ref="B29:E29"/>
    <mergeCell ref="B30:E30"/>
    <mergeCell ref="B23:F23"/>
    <mergeCell ref="L19:N19"/>
    <mergeCell ref="L20:N20"/>
    <mergeCell ref="B28:E28"/>
    <mergeCell ref="B27:E27"/>
    <mergeCell ref="B26:E26"/>
    <mergeCell ref="B25:E25"/>
    <mergeCell ref="B24:E24"/>
    <mergeCell ref="J29:K29"/>
    <mergeCell ref="J30:K30"/>
    <mergeCell ref="J31:K31"/>
    <mergeCell ref="J32:K32"/>
    <mergeCell ref="I8:O8"/>
    <mergeCell ref="I13:O13"/>
    <mergeCell ref="I22:O22"/>
    <mergeCell ref="J23:K23"/>
    <mergeCell ref="L23:M23"/>
    <mergeCell ref="N23:O23"/>
    <mergeCell ref="J28:K28"/>
    <mergeCell ref="J25:K25"/>
    <mergeCell ref="J26:K26"/>
    <mergeCell ref="B8:E8"/>
    <mergeCell ref="B14:D14"/>
    <mergeCell ref="E14:G14"/>
    <mergeCell ref="B13:G13"/>
    <mergeCell ref="Q23:W23"/>
    <mergeCell ref="B19:C19"/>
    <mergeCell ref="D19:E19"/>
    <mergeCell ref="B18:E18"/>
    <mergeCell ref="R20:S20"/>
    <mergeCell ref="R9:S9"/>
    <mergeCell ref="T9:U9"/>
    <mergeCell ref="V9:W9"/>
    <mergeCell ref="Q8:W8"/>
    <mergeCell ref="T24:W24"/>
    <mergeCell ref="T25:W25"/>
    <mergeCell ref="Q27:W27"/>
    <mergeCell ref="Q28:R28"/>
    <mergeCell ref="Q29:R29"/>
    <mergeCell ref="Q24:S24"/>
    <mergeCell ref="Q25:S25"/>
    <mergeCell ref="T34:W34"/>
    <mergeCell ref="Q36:W36"/>
    <mergeCell ref="Q30:R30"/>
    <mergeCell ref="T28:W28"/>
    <mergeCell ref="T29:W29"/>
    <mergeCell ref="T30:W30"/>
    <mergeCell ref="Q32:W32"/>
    <mergeCell ref="Q42:W43"/>
    <mergeCell ref="G2:Q2"/>
    <mergeCell ref="G3:Q3"/>
    <mergeCell ref="G4:Q4"/>
    <mergeCell ref="G5:Q5"/>
    <mergeCell ref="T37:W37"/>
    <mergeCell ref="T38:W38"/>
    <mergeCell ref="T39:W39"/>
    <mergeCell ref="T40:W40"/>
    <mergeCell ref="Q37:S37"/>
    <mergeCell ref="Q38:S38"/>
    <mergeCell ref="Q39:S39"/>
    <mergeCell ref="Q40:S40"/>
    <mergeCell ref="Q33:S33"/>
    <mergeCell ref="Q34:S34"/>
    <mergeCell ref="T33:W33"/>
  </mergeCells>
  <pageMargins left="0.7" right="0.7" top="0.75" bottom="0.75" header="0.3" footer="0.3"/>
  <pageSetup orientation="portrait" r:id="rId1"/>
  <ignoredErrors>
    <ignoredError sqref="D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Pearson, Keith, II</dc:creator>
  <cp:lastModifiedBy>Pearson, Keith, II</cp:lastModifiedBy>
  <dcterms:created xsi:type="dcterms:W3CDTF">2023-06-23T15:12:37Z</dcterms:created>
  <dcterms:modified xsi:type="dcterms:W3CDTF">2023-06-24T19:04:24Z</dcterms:modified>
</cp:coreProperties>
</file>